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COMPIL avec MAMA" sheetId="17" r:id="rId1"/>
  </sheets>
  <calcPr calcId="124519"/>
</workbook>
</file>

<file path=xl/calcChain.xml><?xml version="1.0" encoding="utf-8"?>
<calcChain xmlns="http://schemas.openxmlformats.org/spreadsheetml/2006/main">
  <c r="Z25" i="17"/>
  <c r="Y25" l="1"/>
  <c r="AE7" l="1"/>
  <c r="AE8"/>
  <c r="AE9"/>
  <c r="Z19"/>
  <c r="Z22"/>
  <c r="Y33"/>
  <c r="Y30"/>
  <c r="Y27"/>
  <c r="Y24"/>
  <c r="Y21"/>
  <c r="Y18"/>
  <c r="Z33" l="1"/>
  <c r="AA33" s="1"/>
  <c r="Z32"/>
  <c r="AB7"/>
  <c r="Z27"/>
  <c r="AA27" s="1"/>
  <c r="Z24"/>
  <c r="AA24" s="1"/>
  <c r="Z29"/>
  <c r="Z30" s="1"/>
  <c r="AA30" s="1"/>
  <c r="Z20"/>
  <c r="Z21" s="1"/>
  <c r="AA21" s="1"/>
  <c r="Z17"/>
  <c r="Z18" s="1"/>
  <c r="AA18" s="1"/>
  <c r="P19" l="1"/>
  <c r="P33"/>
  <c r="P32"/>
  <c r="P27" l="1"/>
  <c r="P24"/>
  <c r="P29"/>
  <c r="P30" s="1"/>
  <c r="P20"/>
  <c r="P21" s="1"/>
  <c r="P17"/>
  <c r="P18" s="1"/>
  <c r="Q7"/>
  <c r="Q8"/>
  <c r="Q9"/>
  <c r="O32"/>
  <c r="O33" s="1"/>
  <c r="Q33" s="1"/>
  <c r="O27"/>
  <c r="O26"/>
  <c r="O23"/>
  <c r="O22"/>
  <c r="O24" s="1"/>
  <c r="O19"/>
  <c r="O21" s="1"/>
  <c r="Q21" s="1"/>
  <c r="O17"/>
  <c r="O16"/>
  <c r="O6"/>
  <c r="O20" s="1"/>
  <c r="Q6" l="1"/>
  <c r="Q24"/>
  <c r="Q27"/>
  <c r="O18"/>
  <c r="Q18" s="1"/>
  <c r="O29"/>
  <c r="O30" s="1"/>
  <c r="Q30" s="1"/>
  <c r="F19"/>
  <c r="F32"/>
  <c r="F33" s="1"/>
  <c r="E32"/>
  <c r="F27"/>
  <c r="F24"/>
  <c r="F18"/>
  <c r="F29"/>
  <c r="F30" s="1"/>
  <c r="F20"/>
  <c r="G7"/>
  <c r="G8"/>
  <c r="G9"/>
  <c r="G6"/>
  <c r="F17"/>
  <c r="U19"/>
  <c r="F21" l="1"/>
  <c r="U32"/>
  <c r="U33" s="1"/>
  <c r="U27"/>
  <c r="U24"/>
  <c r="L7"/>
  <c r="L8"/>
  <c r="L9"/>
  <c r="L6"/>
  <c r="V7"/>
  <c r="V8"/>
  <c r="V9"/>
  <c r="U6"/>
  <c r="AE6" s="1"/>
  <c r="K30"/>
  <c r="L30" s="1"/>
  <c r="K19"/>
  <c r="K21" s="1"/>
  <c r="L21" s="1"/>
  <c r="K33"/>
  <c r="L33" s="1"/>
  <c r="K29"/>
  <c r="K27"/>
  <c r="K18"/>
  <c r="K24"/>
  <c r="K20"/>
  <c r="K17"/>
  <c r="X33"/>
  <c r="W33"/>
  <c r="T33"/>
  <c r="S33"/>
  <c r="R33"/>
  <c r="N33"/>
  <c r="M33"/>
  <c r="J33"/>
  <c r="I33"/>
  <c r="H33"/>
  <c r="D33"/>
  <c r="C33"/>
  <c r="T32"/>
  <c r="E33"/>
  <c r="G33" s="1"/>
  <c r="T30"/>
  <c r="R30"/>
  <c r="I30"/>
  <c r="D30"/>
  <c r="C30"/>
  <c r="X29"/>
  <c r="X30" s="1"/>
  <c r="W29"/>
  <c r="W30" s="1"/>
  <c r="T29"/>
  <c r="S29"/>
  <c r="S30" s="1"/>
  <c r="R29"/>
  <c r="N29"/>
  <c r="N30" s="1"/>
  <c r="M29"/>
  <c r="M30" s="1"/>
  <c r="J29"/>
  <c r="J30" s="1"/>
  <c r="H29"/>
  <c r="H30" s="1"/>
  <c r="E29"/>
  <c r="E30" s="1"/>
  <c r="G30" s="1"/>
  <c r="X27"/>
  <c r="W27"/>
  <c r="T27"/>
  <c r="S27"/>
  <c r="R27"/>
  <c r="N27"/>
  <c r="M27"/>
  <c r="J27"/>
  <c r="I27"/>
  <c r="H27"/>
  <c r="E27"/>
  <c r="G27" s="1"/>
  <c r="D27"/>
  <c r="C27"/>
  <c r="X24"/>
  <c r="W24"/>
  <c r="T24"/>
  <c r="V24" s="1"/>
  <c r="S24"/>
  <c r="R24"/>
  <c r="N24"/>
  <c r="M24"/>
  <c r="J24"/>
  <c r="L24" s="1"/>
  <c r="I24"/>
  <c r="H24"/>
  <c r="E24"/>
  <c r="G24" s="1"/>
  <c r="D24"/>
  <c r="C24"/>
  <c r="W20"/>
  <c r="T20"/>
  <c r="T21" s="1"/>
  <c r="R20"/>
  <c r="R21" s="1"/>
  <c r="M20"/>
  <c r="J20"/>
  <c r="J21" s="1"/>
  <c r="H20"/>
  <c r="E20"/>
  <c r="D20"/>
  <c r="D21" s="1"/>
  <c r="C20"/>
  <c r="C21" s="1"/>
  <c r="W19"/>
  <c r="N19"/>
  <c r="M19"/>
  <c r="M21" s="1"/>
  <c r="H19"/>
  <c r="H21" s="1"/>
  <c r="E19"/>
  <c r="E21" s="1"/>
  <c r="R18"/>
  <c r="X17"/>
  <c r="X18" s="1"/>
  <c r="W17"/>
  <c r="W18" s="1"/>
  <c r="T17"/>
  <c r="T18" s="1"/>
  <c r="S17"/>
  <c r="S20" s="1"/>
  <c r="S21" s="1"/>
  <c r="R17"/>
  <c r="N17"/>
  <c r="N18" s="1"/>
  <c r="M17"/>
  <c r="M18" s="1"/>
  <c r="J17"/>
  <c r="J18" s="1"/>
  <c r="L18" s="1"/>
  <c r="I17"/>
  <c r="I20" s="1"/>
  <c r="I21" s="1"/>
  <c r="H17"/>
  <c r="H18" s="1"/>
  <c r="E17"/>
  <c r="E18" s="1"/>
  <c r="G18" s="1"/>
  <c r="D17"/>
  <c r="D18" s="1"/>
  <c r="C18"/>
  <c r="AD9"/>
  <c r="AF9" s="1"/>
  <c r="AC9"/>
  <c r="AB9"/>
  <c r="AA9"/>
  <c r="AD8"/>
  <c r="AF8" s="1"/>
  <c r="AC8"/>
  <c r="AB8"/>
  <c r="AA8"/>
  <c r="AD7"/>
  <c r="AF7" s="1"/>
  <c r="AC7"/>
  <c r="AA7"/>
  <c r="AC6"/>
  <c r="AB6"/>
  <c r="AA6"/>
  <c r="W21" l="1"/>
  <c r="U20"/>
  <c r="U21" s="1"/>
  <c r="V21" s="1"/>
  <c r="V27"/>
  <c r="I18"/>
  <c r="U29"/>
  <c r="U30" s="1"/>
  <c r="V30" s="1"/>
  <c r="L27"/>
  <c r="V33"/>
  <c r="N20"/>
  <c r="N21" s="1"/>
  <c r="X20"/>
  <c r="X21" s="1"/>
  <c r="V6"/>
  <c r="U17"/>
  <c r="U18" s="1"/>
  <c r="V18" s="1"/>
  <c r="G21"/>
  <c r="AD6"/>
  <c r="AF6" s="1"/>
  <c r="S18"/>
</calcChain>
</file>

<file path=xl/sharedStrings.xml><?xml version="1.0" encoding="utf-8"?>
<sst xmlns="http://schemas.openxmlformats.org/spreadsheetml/2006/main" count="54" uniqueCount="35">
  <si>
    <t>Chiffre d'affaires</t>
  </si>
  <si>
    <t>ARO</t>
  </si>
  <si>
    <t>ALLIANZ</t>
  </si>
  <si>
    <t>Résultat net</t>
  </si>
  <si>
    <t>Primes acquises</t>
  </si>
  <si>
    <t>Provisions techniques</t>
  </si>
  <si>
    <t>Ratio de revenu net</t>
  </si>
  <si>
    <t>Ratio des charges de gestion</t>
  </si>
  <si>
    <t>Ratio des charges de sinistres</t>
  </si>
  <si>
    <t>Ratio de solvabilité</t>
  </si>
  <si>
    <t>Ratio des arriérés de primes</t>
  </si>
  <si>
    <t>Charges de sinistres</t>
  </si>
  <si>
    <t>Placements admis</t>
  </si>
  <si>
    <t>Créances sur les assurés et agents</t>
  </si>
  <si>
    <t>Primes émises</t>
  </si>
  <si>
    <t>NY HAVANA</t>
  </si>
  <si>
    <t>MAMA</t>
  </si>
  <si>
    <t>Variation</t>
  </si>
  <si>
    <t>Année</t>
  </si>
  <si>
    <t>Fonds propres</t>
  </si>
  <si>
    <t>Revenu net (Avant Impôt)</t>
  </si>
  <si>
    <t>en millions d'Ariary</t>
  </si>
  <si>
    <t>TOTAL</t>
  </si>
  <si>
    <t>RATIOS DE PERFORMANCE VIE ET NON VIE</t>
  </si>
  <si>
    <t>Délai moyen de liquidation des sinistres</t>
  </si>
  <si>
    <t>Provisions pour sinistres à payer</t>
  </si>
  <si>
    <t>Sinistres payés</t>
  </si>
  <si>
    <t>Chiffre d'affaires-Auto</t>
  </si>
  <si>
    <r>
      <t>Frais généraux engagés</t>
    </r>
    <r>
      <rPr>
        <b/>
        <u/>
        <sz val="9"/>
        <color rgb="FF0070C0"/>
        <rFont val="Times New Roman"/>
        <family val="1"/>
      </rPr>
      <t>*</t>
    </r>
  </si>
  <si>
    <r>
      <rPr>
        <sz val="9"/>
        <color rgb="FF0070C0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>hors amortissements et provisions</t>
    </r>
  </si>
  <si>
    <t xml:space="preserve">                                        </t>
  </si>
  <si>
    <t>SITUATION DU SECTEUR DES ASSURANCES (2011 à 2014)</t>
  </si>
  <si>
    <t>source dispersion placements (placements admis): états C 2014</t>
  </si>
  <si>
    <t>SAHAM</t>
  </si>
  <si>
    <t xml:space="preserve">source dispersion placements MAMA (placements admis): états Fin 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</si>
</sst>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\ _€_-;\-* #,##0\ _€_-;_-* &quot;-&quot;??\ _€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u/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9"/>
      <name val="Times New Roman"/>
      <family val="1"/>
    </font>
    <font>
      <b/>
      <sz val="9"/>
      <name val="Times New Roman"/>
      <family val="1"/>
    </font>
    <font>
      <sz val="9"/>
      <color rgb="FF0070C0"/>
      <name val="Calibri"/>
      <family val="2"/>
      <scheme val="minor"/>
    </font>
    <font>
      <b/>
      <u/>
      <sz val="9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3" fontId="6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165" fontId="4" fillId="0" borderId="0" xfId="1" applyNumberFormat="1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0" borderId="4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0" fontId="5" fillId="0" borderId="4" xfId="1" applyNumberFormat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43" fontId="5" fillId="0" borderId="0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0" fontId="5" fillId="0" borderId="0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top" wrapText="1"/>
    </xf>
    <xf numFmtId="2" fontId="5" fillId="0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top" wrapText="1"/>
    </xf>
    <xf numFmtId="0" fontId="8" fillId="0" borderId="9" xfId="0" applyFont="1" applyBorder="1" applyAlignment="1"/>
    <xf numFmtId="3" fontId="10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3" fontId="11" fillId="0" borderId="4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9"/>
  <sheetViews>
    <sheetView tabSelected="1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AE16" sqref="AE16"/>
    </sheetView>
  </sheetViews>
  <sheetFormatPr baseColWidth="10" defaultRowHeight="12"/>
  <cols>
    <col min="1" max="1" width="17.140625" style="1" customWidth="1"/>
    <col min="2" max="2" width="19.42578125" style="1" customWidth="1"/>
    <col min="3" max="3" width="10.42578125" style="1" customWidth="1"/>
    <col min="4" max="6" width="11.28515625" style="1" customWidth="1"/>
    <col min="7" max="7" width="8.140625" style="1" customWidth="1"/>
    <col min="8" max="11" width="9.5703125" style="1" customWidth="1"/>
    <col min="12" max="12" width="8.140625" style="1" customWidth="1"/>
    <col min="13" max="13" width="11.42578125" style="1" customWidth="1"/>
    <col min="14" max="17" width="9.5703125" style="1" customWidth="1"/>
    <col min="18" max="18" width="8.7109375" style="1" customWidth="1"/>
    <col min="19" max="21" width="9.5703125" style="1" customWidth="1"/>
    <col min="22" max="22" width="8.7109375" style="1" bestFit="1" customWidth="1"/>
    <col min="23" max="16384" width="11.42578125" style="1"/>
  </cols>
  <sheetData>
    <row r="1" spans="1:32" ht="15" customHeight="1">
      <c r="A1" s="48" t="s">
        <v>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</row>
    <row r="2" spans="1:32" ht="15" customHeight="1">
      <c r="A2" s="34"/>
      <c r="B2" s="34"/>
      <c r="C2" s="34"/>
      <c r="D2" s="34"/>
      <c r="E2" s="34"/>
      <c r="F2" s="34"/>
      <c r="G2" s="34" t="s">
        <v>30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1:32" ht="15.75" customHeight="1" thickBot="1">
      <c r="A3" s="27"/>
      <c r="B3" s="27"/>
      <c r="C3" s="13"/>
      <c r="D3" s="13"/>
      <c r="E3" s="13"/>
      <c r="F3" s="13"/>
      <c r="G3" s="13"/>
      <c r="H3" s="13"/>
      <c r="I3" s="13"/>
      <c r="J3" s="13"/>
      <c r="K3" s="13"/>
      <c r="L3" s="13"/>
      <c r="R3" s="13"/>
      <c r="S3" s="13"/>
      <c r="T3" s="13"/>
      <c r="U3" s="13"/>
      <c r="V3" s="13"/>
      <c r="AC3" s="31" t="s">
        <v>21</v>
      </c>
      <c r="AD3" s="31"/>
      <c r="AE3" s="31"/>
      <c r="AF3" s="31"/>
    </row>
    <row r="4" spans="1:32" ht="21.75" customHeight="1" thickBot="1">
      <c r="A4" s="28"/>
      <c r="B4" s="28"/>
      <c r="C4" s="45" t="s">
        <v>1</v>
      </c>
      <c r="D4" s="46"/>
      <c r="E4" s="46"/>
      <c r="F4" s="46"/>
      <c r="G4" s="47"/>
      <c r="H4" s="45" t="s">
        <v>15</v>
      </c>
      <c r="I4" s="46"/>
      <c r="J4" s="46"/>
      <c r="K4" s="46"/>
      <c r="L4" s="47"/>
      <c r="M4" s="45" t="s">
        <v>33</v>
      </c>
      <c r="N4" s="46"/>
      <c r="O4" s="46"/>
      <c r="P4" s="46"/>
      <c r="Q4" s="47"/>
      <c r="R4" s="45" t="s">
        <v>2</v>
      </c>
      <c r="S4" s="46"/>
      <c r="T4" s="46"/>
      <c r="U4" s="46"/>
      <c r="V4" s="47"/>
      <c r="W4" s="45" t="s">
        <v>16</v>
      </c>
      <c r="X4" s="46"/>
      <c r="Y4" s="46"/>
      <c r="Z4" s="46"/>
      <c r="AA4" s="47"/>
      <c r="AB4" s="45" t="s">
        <v>22</v>
      </c>
      <c r="AC4" s="46"/>
      <c r="AD4" s="46"/>
      <c r="AE4" s="46"/>
      <c r="AF4" s="47"/>
    </row>
    <row r="5" spans="1:32" ht="21.75" customHeight="1" thickBot="1">
      <c r="A5" s="42" t="s">
        <v>18</v>
      </c>
      <c r="B5" s="43"/>
      <c r="C5" s="35">
        <v>2011</v>
      </c>
      <c r="D5" s="6">
        <v>2012</v>
      </c>
      <c r="E5" s="6">
        <v>2013</v>
      </c>
      <c r="F5" s="6">
        <v>2014</v>
      </c>
      <c r="G5" s="6" t="s">
        <v>17</v>
      </c>
      <c r="H5" s="6">
        <v>2011</v>
      </c>
      <c r="I5" s="6">
        <v>2012</v>
      </c>
      <c r="J5" s="6">
        <v>2013</v>
      </c>
      <c r="K5" s="6">
        <v>2014</v>
      </c>
      <c r="L5" s="6" t="s">
        <v>17</v>
      </c>
      <c r="M5" s="6">
        <v>2011</v>
      </c>
      <c r="N5" s="6">
        <v>2012</v>
      </c>
      <c r="O5" s="6">
        <v>2013</v>
      </c>
      <c r="P5" s="6">
        <v>2014</v>
      </c>
      <c r="Q5" s="6" t="s">
        <v>17</v>
      </c>
      <c r="R5" s="6">
        <v>2011</v>
      </c>
      <c r="S5" s="6">
        <v>2012</v>
      </c>
      <c r="T5" s="6">
        <v>2013</v>
      </c>
      <c r="U5" s="6">
        <v>2014</v>
      </c>
      <c r="V5" s="6" t="s">
        <v>17</v>
      </c>
      <c r="W5" s="6">
        <v>2011</v>
      </c>
      <c r="X5" s="6">
        <v>2012</v>
      </c>
      <c r="Y5" s="6">
        <v>2013</v>
      </c>
      <c r="Z5" s="6">
        <v>2014</v>
      </c>
      <c r="AA5" s="6" t="s">
        <v>17</v>
      </c>
      <c r="AB5" s="6">
        <v>2011</v>
      </c>
      <c r="AC5" s="6">
        <v>2012</v>
      </c>
      <c r="AD5" s="6">
        <v>2013</v>
      </c>
      <c r="AE5" s="6">
        <v>2014</v>
      </c>
      <c r="AF5" s="6" t="s">
        <v>17</v>
      </c>
    </row>
    <row r="6" spans="1:32" ht="21.75" customHeight="1" thickBot="1">
      <c r="A6" s="42" t="s">
        <v>0</v>
      </c>
      <c r="B6" s="43"/>
      <c r="C6" s="7">
        <v>66534.44</v>
      </c>
      <c r="D6" s="8">
        <v>73452.81</v>
      </c>
      <c r="E6" s="8">
        <v>83780.807000000001</v>
      </c>
      <c r="F6" s="8">
        <v>110101.723</v>
      </c>
      <c r="G6" s="9">
        <f>(F6-E6)/E6</f>
        <v>0.31416403043241153</v>
      </c>
      <c r="H6" s="10">
        <v>27293</v>
      </c>
      <c r="I6" s="11">
        <v>29436</v>
      </c>
      <c r="J6" s="11">
        <v>31814.769</v>
      </c>
      <c r="K6" s="11">
        <v>29937</v>
      </c>
      <c r="L6" s="9">
        <f>(K6-J6)/J6</f>
        <v>-5.9021927834836715E-2</v>
      </c>
      <c r="M6" s="10">
        <v>9542.4599999999991</v>
      </c>
      <c r="N6" s="11">
        <v>9864.9</v>
      </c>
      <c r="O6" s="11">
        <f>11728.994+1536.683</f>
        <v>13265.677</v>
      </c>
      <c r="P6" s="11">
        <v>13786.385</v>
      </c>
      <c r="Q6" s="9">
        <f>(P6-O6)/O6</f>
        <v>3.9252274874474975E-2</v>
      </c>
      <c r="R6" s="10">
        <v>8843.2199999999993</v>
      </c>
      <c r="S6" s="10">
        <v>11190.57</v>
      </c>
      <c r="T6" s="10">
        <v>11835.503000000001</v>
      </c>
      <c r="U6" s="10">
        <f>13199.203</f>
        <v>13199.203</v>
      </c>
      <c r="V6" s="9">
        <f>(U6-T6)/T6</f>
        <v>0.11522112748397756</v>
      </c>
      <c r="W6" s="10">
        <v>10419</v>
      </c>
      <c r="X6" s="11">
        <v>11824</v>
      </c>
      <c r="Y6" s="11">
        <v>13786</v>
      </c>
      <c r="Z6" s="11">
        <v>14209.263000000001</v>
      </c>
      <c r="AA6" s="9">
        <f>(X6-W6)/W6</f>
        <v>0.13484979364622324</v>
      </c>
      <c r="AB6" s="10">
        <f>C6+R6+H6+W6</f>
        <v>113089.66</v>
      </c>
      <c r="AC6" s="11">
        <f>D6+S6+I6+N6+X6</f>
        <v>135768.28</v>
      </c>
      <c r="AD6" s="11">
        <f>E6+J6+O6+T6+Y6</f>
        <v>154482.75599999999</v>
      </c>
      <c r="AE6" s="11">
        <f>F6+K6+P6+U6+Z6</f>
        <v>181233.57400000002</v>
      </c>
      <c r="AF6" s="9">
        <f>(AE6-AD6)/AD6</f>
        <v>0.1731637801697429</v>
      </c>
    </row>
    <row r="7" spans="1:32" ht="21.75" customHeight="1" thickBot="1">
      <c r="A7" s="42" t="s">
        <v>27</v>
      </c>
      <c r="B7" s="43"/>
      <c r="C7" s="7">
        <v>10128.200000000001</v>
      </c>
      <c r="D7" s="8">
        <v>8333.1</v>
      </c>
      <c r="E7" s="8">
        <v>8917.2000000000007</v>
      </c>
      <c r="F7" s="8">
        <v>8583.5</v>
      </c>
      <c r="G7" s="9">
        <f t="shared" ref="G7:G9" si="0">(F7-E7)/E7</f>
        <v>-3.7422060736554151E-2</v>
      </c>
      <c r="H7" s="10">
        <v>5562.4960000000001</v>
      </c>
      <c r="I7" s="11">
        <v>5768.45</v>
      </c>
      <c r="J7" s="11">
        <v>5799.45</v>
      </c>
      <c r="K7" s="11">
        <v>5838.2349999999997</v>
      </c>
      <c r="L7" s="9">
        <f t="shared" ref="L7:L9" si="1">(K7-J7)/J7</f>
        <v>6.6877031442636554E-3</v>
      </c>
      <c r="M7" s="10">
        <v>1217.4659999999999</v>
      </c>
      <c r="N7" s="11">
        <v>1057.9000000000001</v>
      </c>
      <c r="O7" s="11">
        <v>1284.9010000000001</v>
      </c>
      <c r="P7" s="11">
        <v>1312.433</v>
      </c>
      <c r="Q7" s="9">
        <f t="shared" ref="Q7:Q9" si="2">(P7-O7)/O7</f>
        <v>2.1427331755520404E-2</v>
      </c>
      <c r="R7" s="10"/>
      <c r="S7" s="10">
        <v>1452.85</v>
      </c>
      <c r="T7" s="10">
        <v>1785.22</v>
      </c>
      <c r="U7" s="10">
        <v>2017.4749999999999</v>
      </c>
      <c r="V7" s="9">
        <f t="shared" ref="V7:V9" si="3">(U7-T7)/T7</f>
        <v>0.13009881135098189</v>
      </c>
      <c r="W7" s="10">
        <v>10419</v>
      </c>
      <c r="X7" s="11">
        <v>11824</v>
      </c>
      <c r="Y7" s="11">
        <v>13786</v>
      </c>
      <c r="Z7" s="11">
        <v>14209.26</v>
      </c>
      <c r="AA7" s="9">
        <f>(X7-W7)/W7</f>
        <v>0.13484979364622324</v>
      </c>
      <c r="AB7" s="10">
        <f>C7+R7+H7+W7</f>
        <v>26109.696</v>
      </c>
      <c r="AC7" s="11">
        <f>D7+S7+I7+N7+X7</f>
        <v>28436.300000000003</v>
      </c>
      <c r="AD7" s="11">
        <f t="shared" ref="AD7:AD9" si="4">E7+J7+O7+T7+Y7</f>
        <v>31572.771000000001</v>
      </c>
      <c r="AE7" s="11">
        <f t="shared" ref="AE7:AE9" si="5">F7+K7+P7+U7+Z7</f>
        <v>31960.902999999998</v>
      </c>
      <c r="AF7" s="9">
        <f t="shared" ref="AF7:AF9" si="6">(AE7-AD7)/AD7</f>
        <v>1.2293251042171679E-2</v>
      </c>
    </row>
    <row r="8" spans="1:32" ht="21.75" customHeight="1" thickBot="1">
      <c r="A8" s="42" t="s">
        <v>3</v>
      </c>
      <c r="B8" s="43"/>
      <c r="C8" s="7">
        <v>6591.3</v>
      </c>
      <c r="D8" s="8">
        <v>7330.04</v>
      </c>
      <c r="E8" s="8">
        <v>8189.5370000000003</v>
      </c>
      <c r="F8" s="8">
        <v>9154.81</v>
      </c>
      <c r="G8" s="9">
        <f t="shared" si="0"/>
        <v>0.1178666144374217</v>
      </c>
      <c r="H8" s="11">
        <v>1897</v>
      </c>
      <c r="I8" s="11">
        <v>2270</v>
      </c>
      <c r="J8" s="11">
        <v>2224.62</v>
      </c>
      <c r="K8" s="11">
        <v>3502.05</v>
      </c>
      <c r="L8" s="9">
        <f t="shared" si="1"/>
        <v>0.57422391239852211</v>
      </c>
      <c r="M8" s="11">
        <v>1211.95</v>
      </c>
      <c r="N8" s="11">
        <v>1647.96</v>
      </c>
      <c r="O8" s="37">
        <v>1878.09043595</v>
      </c>
      <c r="P8" s="11">
        <v>1953.056</v>
      </c>
      <c r="Q8" s="9">
        <f t="shared" si="2"/>
        <v>3.9915843569098393E-2</v>
      </c>
      <c r="R8" s="10">
        <v>651.55999999999995</v>
      </c>
      <c r="S8" s="10">
        <v>737.85</v>
      </c>
      <c r="T8" s="10">
        <v>9.1310000000000002</v>
      </c>
      <c r="U8" s="10">
        <v>270.98399999999998</v>
      </c>
      <c r="V8" s="9">
        <f t="shared" si="3"/>
        <v>28.677362829920046</v>
      </c>
      <c r="W8" s="11">
        <v>478</v>
      </c>
      <c r="X8" s="11">
        <v>454</v>
      </c>
      <c r="Y8" s="11">
        <v>382.24</v>
      </c>
      <c r="Z8" s="11">
        <v>601.79100000000005</v>
      </c>
      <c r="AA8" s="9">
        <f>(X8-W8)/W8</f>
        <v>-5.0209205020920501E-2</v>
      </c>
      <c r="AB8" s="10">
        <f>C8+R8+H8+W8</f>
        <v>9617.86</v>
      </c>
      <c r="AC8" s="11">
        <f>D8+S8+I8+N8+X8</f>
        <v>12439.849999999999</v>
      </c>
      <c r="AD8" s="11">
        <f t="shared" si="4"/>
        <v>12683.618435949998</v>
      </c>
      <c r="AE8" s="11">
        <f t="shared" si="5"/>
        <v>15482.691000000001</v>
      </c>
      <c r="AF8" s="9">
        <f t="shared" si="6"/>
        <v>0.22068407199292672</v>
      </c>
    </row>
    <row r="9" spans="1:32" ht="21.75" customHeight="1" thickBot="1">
      <c r="A9" s="42" t="s">
        <v>19</v>
      </c>
      <c r="B9" s="43"/>
      <c r="C9" s="7">
        <v>166479.073</v>
      </c>
      <c r="D9" s="8">
        <v>174376.29</v>
      </c>
      <c r="E9" s="8">
        <v>179491.74400000001</v>
      </c>
      <c r="F9" s="8">
        <v>216687.679</v>
      </c>
      <c r="G9" s="9">
        <f t="shared" si="0"/>
        <v>0.20722922498318361</v>
      </c>
      <c r="H9" s="11">
        <v>33490</v>
      </c>
      <c r="I9" s="11">
        <v>35985</v>
      </c>
      <c r="J9" s="11">
        <v>38955.519999999997</v>
      </c>
      <c r="K9" s="11">
        <v>41398.781999999999</v>
      </c>
      <c r="L9" s="9">
        <f t="shared" si="1"/>
        <v>6.2719275727804502E-2</v>
      </c>
      <c r="M9" s="11">
        <v>4298.2299999999996</v>
      </c>
      <c r="N9" s="11">
        <v>5946.2</v>
      </c>
      <c r="O9" s="37">
        <v>3217.1458670000002</v>
      </c>
      <c r="P9" s="11">
        <v>4125.4189999999999</v>
      </c>
      <c r="Q9" s="9">
        <f t="shared" si="2"/>
        <v>0.28232264577016758</v>
      </c>
      <c r="R9" s="10">
        <v>1737.94</v>
      </c>
      <c r="S9" s="10">
        <v>2475.79</v>
      </c>
      <c r="T9" s="10">
        <v>2484.9299999999998</v>
      </c>
      <c r="U9" s="10">
        <v>3055.9140000000002</v>
      </c>
      <c r="V9" s="9">
        <f t="shared" si="3"/>
        <v>0.22977870604000936</v>
      </c>
      <c r="W9" s="11">
        <v>-2081</v>
      </c>
      <c r="X9" s="11">
        <v>-1548</v>
      </c>
      <c r="Y9" s="11">
        <v>-1090.4390000000001</v>
      </c>
      <c r="Z9" s="11">
        <v>-2775.1970000000001</v>
      </c>
      <c r="AA9" s="9">
        <f>-(X9-W9)/W9</f>
        <v>0.25612686208553581</v>
      </c>
      <c r="AB9" s="10">
        <f>C9+R9+H9+W9</f>
        <v>199626.01300000001</v>
      </c>
      <c r="AC9" s="11">
        <f>D9+S9+I9+N9+X9</f>
        <v>217235.28000000003</v>
      </c>
      <c r="AD9" s="11">
        <f t="shared" si="4"/>
        <v>223058.90086699999</v>
      </c>
      <c r="AE9" s="11">
        <f t="shared" si="5"/>
        <v>262492.59700000001</v>
      </c>
      <c r="AF9" s="9">
        <f t="shared" si="6"/>
        <v>0.17678602369027435</v>
      </c>
    </row>
    <row r="10" spans="1:32" s="3" customFormat="1" ht="21.75" customHeight="1">
      <c r="A10" s="18"/>
      <c r="B10" s="18"/>
      <c r="C10" s="14"/>
      <c r="D10" s="15"/>
      <c r="E10" s="15"/>
      <c r="F10" s="15"/>
      <c r="G10" s="19"/>
      <c r="H10" s="17"/>
      <c r="I10" s="17"/>
      <c r="J10" s="17"/>
      <c r="K10" s="17"/>
      <c r="L10" s="19"/>
      <c r="M10" s="17"/>
      <c r="N10" s="17"/>
      <c r="O10" s="17"/>
      <c r="P10" s="17"/>
      <c r="Q10" s="19"/>
      <c r="R10" s="16"/>
      <c r="S10" s="16"/>
      <c r="T10" s="16"/>
      <c r="U10" s="16"/>
      <c r="V10" s="19"/>
      <c r="W10" s="17"/>
      <c r="X10" s="17"/>
      <c r="Y10" s="17"/>
      <c r="Z10" s="17"/>
      <c r="AA10" s="19"/>
    </row>
    <row r="11" spans="1:32" s="3" customFormat="1" ht="21.75" customHeight="1">
      <c r="A11" s="18"/>
      <c r="B11" s="18"/>
      <c r="C11" s="14"/>
      <c r="D11" s="15"/>
      <c r="E11" s="15"/>
      <c r="F11" s="15"/>
      <c r="G11" s="19"/>
      <c r="H11" s="17"/>
      <c r="I11" s="17"/>
      <c r="J11" s="17"/>
      <c r="K11" s="17"/>
      <c r="L11" s="19"/>
      <c r="M11" s="17"/>
      <c r="N11" s="17"/>
      <c r="O11" s="17"/>
      <c r="P11" s="17"/>
      <c r="Q11" s="19"/>
      <c r="R11" s="16"/>
      <c r="S11" s="16"/>
      <c r="T11" s="16"/>
      <c r="U11" s="16"/>
      <c r="V11" s="19"/>
      <c r="W11" s="17"/>
      <c r="X11" s="17"/>
      <c r="Y11" s="17"/>
      <c r="Z11" s="17"/>
      <c r="AA11" s="19"/>
    </row>
    <row r="12" spans="1:32" s="3" customFormat="1" ht="21.75" customHeight="1" thickBot="1">
      <c r="A12" s="18"/>
      <c r="B12" s="18"/>
      <c r="C12" s="14"/>
      <c r="D12" s="15"/>
      <c r="E12" s="15"/>
      <c r="F12" s="15"/>
      <c r="G12" s="19"/>
      <c r="H12" s="17"/>
      <c r="I12" s="17"/>
      <c r="J12" s="17"/>
      <c r="K12" s="17"/>
      <c r="L12" s="19"/>
      <c r="M12" s="17"/>
      <c r="N12" s="17"/>
      <c r="O12" s="17"/>
      <c r="P12" s="17"/>
      <c r="Q12" s="19"/>
      <c r="R12" s="16"/>
      <c r="S12" s="16"/>
      <c r="T12" s="16"/>
      <c r="U12" s="16"/>
      <c r="V12" s="19"/>
      <c r="W12" s="17"/>
      <c r="X12" s="17"/>
      <c r="Y12" s="17"/>
      <c r="Z12" s="31" t="s">
        <v>21</v>
      </c>
      <c r="AA12" s="19"/>
    </row>
    <row r="13" spans="1:32" s="3" customFormat="1" ht="21.75" customHeight="1" thickBot="1">
      <c r="A13" s="44" t="s">
        <v>23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</row>
    <row r="14" spans="1:32" ht="21.75" customHeight="1" thickBot="1">
      <c r="A14" s="28"/>
      <c r="B14" s="28"/>
      <c r="C14" s="45" t="s">
        <v>1</v>
      </c>
      <c r="D14" s="46"/>
      <c r="E14" s="46"/>
      <c r="F14" s="46"/>
      <c r="G14" s="47"/>
      <c r="H14" s="45" t="s">
        <v>15</v>
      </c>
      <c r="I14" s="46"/>
      <c r="J14" s="46"/>
      <c r="K14" s="46"/>
      <c r="L14" s="47"/>
      <c r="M14" s="45" t="s">
        <v>33</v>
      </c>
      <c r="N14" s="46"/>
      <c r="O14" s="46"/>
      <c r="P14" s="46"/>
      <c r="Q14" s="47"/>
      <c r="R14" s="45" t="s">
        <v>2</v>
      </c>
      <c r="S14" s="46"/>
      <c r="T14" s="46"/>
      <c r="U14" s="46"/>
      <c r="V14" s="47"/>
      <c r="W14" s="45" t="s">
        <v>16</v>
      </c>
      <c r="X14" s="46"/>
      <c r="Y14" s="46"/>
      <c r="Z14" s="46"/>
      <c r="AA14" s="47"/>
    </row>
    <row r="15" spans="1:32" ht="21.75" customHeight="1" thickBot="1">
      <c r="A15" s="5" t="s">
        <v>18</v>
      </c>
      <c r="B15" s="5"/>
      <c r="C15" s="6">
        <v>2011</v>
      </c>
      <c r="D15" s="6">
        <v>2012</v>
      </c>
      <c r="E15" s="6">
        <v>2013</v>
      </c>
      <c r="F15" s="6">
        <v>2014</v>
      </c>
      <c r="G15" s="6" t="s">
        <v>17</v>
      </c>
      <c r="H15" s="6">
        <v>2011</v>
      </c>
      <c r="I15" s="6">
        <v>2012</v>
      </c>
      <c r="J15" s="6">
        <v>2013</v>
      </c>
      <c r="K15" s="6">
        <v>2014</v>
      </c>
      <c r="L15" s="6" t="s">
        <v>17</v>
      </c>
      <c r="M15" s="6">
        <v>2011</v>
      </c>
      <c r="N15" s="6">
        <v>2012</v>
      </c>
      <c r="O15" s="6">
        <v>2013</v>
      </c>
      <c r="P15" s="6">
        <v>2014</v>
      </c>
      <c r="Q15" s="6" t="s">
        <v>17</v>
      </c>
      <c r="R15" s="6">
        <v>2011</v>
      </c>
      <c r="S15" s="6">
        <v>2012</v>
      </c>
      <c r="T15" s="6">
        <v>2013</v>
      </c>
      <c r="U15" s="6">
        <v>2014</v>
      </c>
      <c r="V15" s="6" t="s">
        <v>17</v>
      </c>
      <c r="W15" s="6">
        <v>2011</v>
      </c>
      <c r="X15" s="6">
        <v>2012</v>
      </c>
      <c r="Y15" s="6">
        <v>2013</v>
      </c>
      <c r="Z15" s="6">
        <v>2014</v>
      </c>
      <c r="AA15" s="6" t="s">
        <v>17</v>
      </c>
    </row>
    <row r="16" spans="1:32" s="22" customFormat="1" ht="21.75" customHeight="1">
      <c r="A16" s="39" t="s">
        <v>6</v>
      </c>
      <c r="B16" s="20" t="s">
        <v>20</v>
      </c>
      <c r="C16" s="21">
        <v>8560.64</v>
      </c>
      <c r="D16" s="21">
        <v>9356.2000000000007</v>
      </c>
      <c r="E16" s="21">
        <v>10324.156000000001</v>
      </c>
      <c r="F16" s="21">
        <v>11460.853999999999</v>
      </c>
      <c r="G16" s="21"/>
      <c r="H16" s="21">
        <v>2311</v>
      </c>
      <c r="I16" s="21">
        <v>2760</v>
      </c>
      <c r="J16" s="21">
        <v>2687.1819999999998</v>
      </c>
      <c r="K16" s="21">
        <v>4240.518</v>
      </c>
      <c r="L16" s="21"/>
      <c r="M16" s="21">
        <v>1557.62</v>
      </c>
      <c r="N16" s="21">
        <v>2118.75</v>
      </c>
      <c r="O16" s="21">
        <f>1493.523+928.116</f>
        <v>2421.6390000000001</v>
      </c>
      <c r="P16" s="21">
        <v>2489.2739999999999</v>
      </c>
      <c r="Q16" s="21"/>
      <c r="R16" s="21">
        <v>696.1</v>
      </c>
      <c r="S16" s="21">
        <v>1218.42</v>
      </c>
      <c r="T16" s="21">
        <v>100.286</v>
      </c>
      <c r="U16" s="21">
        <v>858.33799999999997</v>
      </c>
      <c r="V16" s="21"/>
      <c r="W16" s="21">
        <v>958</v>
      </c>
      <c r="X16" s="21">
        <v>766</v>
      </c>
      <c r="Y16" s="21">
        <v>504</v>
      </c>
      <c r="Z16" s="21">
        <v>1210.0940000000001</v>
      </c>
      <c r="AA16" s="21"/>
    </row>
    <row r="17" spans="1:27" s="22" customFormat="1" ht="21.75" customHeight="1">
      <c r="A17" s="40"/>
      <c r="B17" s="36" t="s">
        <v>14</v>
      </c>
      <c r="C17" s="23">
        <v>66534.442999999999</v>
      </c>
      <c r="D17" s="23">
        <f>D6</f>
        <v>73452.81</v>
      </c>
      <c r="E17" s="23">
        <f>E6</f>
        <v>83780.807000000001</v>
      </c>
      <c r="F17" s="23">
        <f>F6</f>
        <v>110101.723</v>
      </c>
      <c r="G17" s="23"/>
      <c r="H17" s="23">
        <f>H6</f>
        <v>27293</v>
      </c>
      <c r="I17" s="23">
        <f>I6</f>
        <v>29436</v>
      </c>
      <c r="J17" s="23">
        <f>J6</f>
        <v>31814.769</v>
      </c>
      <c r="K17" s="23">
        <f>K6</f>
        <v>29937</v>
      </c>
      <c r="L17" s="23"/>
      <c r="M17" s="23">
        <f>M6</f>
        <v>9542.4599999999991</v>
      </c>
      <c r="N17" s="23">
        <f>N6</f>
        <v>9864.9</v>
      </c>
      <c r="O17" s="23">
        <f>O7</f>
        <v>1284.9010000000001</v>
      </c>
      <c r="P17" s="23">
        <f>P6</f>
        <v>13786.385</v>
      </c>
      <c r="Q17" s="23"/>
      <c r="R17" s="23">
        <f>R6</f>
        <v>8843.2199999999993</v>
      </c>
      <c r="S17" s="23">
        <f>S6</f>
        <v>11190.57</v>
      </c>
      <c r="T17" s="23">
        <f>T6</f>
        <v>11835.503000000001</v>
      </c>
      <c r="U17" s="23">
        <f>U6</f>
        <v>13199.203</v>
      </c>
      <c r="V17" s="23"/>
      <c r="W17" s="23">
        <f>W6</f>
        <v>10419</v>
      </c>
      <c r="X17" s="23">
        <f>X6</f>
        <v>11824</v>
      </c>
      <c r="Y17" s="23">
        <v>13786</v>
      </c>
      <c r="Z17" s="23">
        <f>Z6</f>
        <v>14209.263000000001</v>
      </c>
      <c r="AA17" s="23"/>
    </row>
    <row r="18" spans="1:27" s="22" customFormat="1" ht="21.75" customHeight="1" thickBot="1">
      <c r="A18" s="41"/>
      <c r="B18" s="24"/>
      <c r="C18" s="12">
        <f>C16/C17</f>
        <v>0.12866478795050557</v>
      </c>
      <c r="D18" s="12">
        <f>D16/D17</f>
        <v>0.12737701934071685</v>
      </c>
      <c r="E18" s="12">
        <f>E16/E17</f>
        <v>0.12322817563693318</v>
      </c>
      <c r="F18" s="12">
        <f>F16/F17</f>
        <v>0.1040933210463927</v>
      </c>
      <c r="G18" s="12">
        <f>F18-E18</f>
        <v>-1.9134854590540484E-2</v>
      </c>
      <c r="H18" s="12">
        <f>H16/H17</f>
        <v>8.4673725863774599E-2</v>
      </c>
      <c r="I18" s="12">
        <f>I16/I17</f>
        <v>9.3762739502649822E-2</v>
      </c>
      <c r="J18" s="12">
        <f>J16/J17</f>
        <v>8.4463350967596204E-2</v>
      </c>
      <c r="K18" s="12">
        <f>K16/K17</f>
        <v>0.14164806092794868</v>
      </c>
      <c r="L18" s="12">
        <f>K18-J18</f>
        <v>5.7184709960352478E-2</v>
      </c>
      <c r="M18" s="12">
        <f>M16/M17</f>
        <v>0.16323044581795471</v>
      </c>
      <c r="N18" s="12">
        <f>N16/N17</f>
        <v>0.21477663230240551</v>
      </c>
      <c r="O18" s="12">
        <f>O16/O17</f>
        <v>1.8846891706053619</v>
      </c>
      <c r="P18" s="12">
        <f>P16/P17</f>
        <v>0.1805603136717856</v>
      </c>
      <c r="Q18" s="12">
        <f>P18-O18</f>
        <v>-1.7041288569335764</v>
      </c>
      <c r="R18" s="12">
        <f>R16/R17</f>
        <v>7.8715671440945725E-2</v>
      </c>
      <c r="S18" s="12">
        <f>S16/S17</f>
        <v>0.10887917237459754</v>
      </c>
      <c r="T18" s="12">
        <f>T16/T17</f>
        <v>8.4733196383795437E-3</v>
      </c>
      <c r="U18" s="12">
        <f>U16/U17</f>
        <v>6.5029532464952619E-2</v>
      </c>
      <c r="V18" s="12">
        <f>U18-T18</f>
        <v>5.6556212826573075E-2</v>
      </c>
      <c r="W18" s="12">
        <f>W16/W17</f>
        <v>9.194740378155293E-2</v>
      </c>
      <c r="X18" s="12">
        <f>X16/X17</f>
        <v>6.4783491204330176E-2</v>
      </c>
      <c r="Y18" s="12">
        <f>Y16/Y17</f>
        <v>3.6558827796315099E-2</v>
      </c>
      <c r="Z18" s="12">
        <f>Z16/Z17</f>
        <v>8.5162333894446177E-2</v>
      </c>
      <c r="AA18" s="12">
        <f>Z18-Y18</f>
        <v>4.8603506098131077E-2</v>
      </c>
    </row>
    <row r="19" spans="1:27" s="22" customFormat="1" ht="21.75" customHeight="1">
      <c r="A19" s="39" t="s">
        <v>7</v>
      </c>
      <c r="B19" s="25" t="s">
        <v>28</v>
      </c>
      <c r="C19" s="26">
        <v>18595.14</v>
      </c>
      <c r="D19" s="26">
        <v>20724.39</v>
      </c>
      <c r="E19" s="26">
        <f>5828.931+16889.243</f>
        <v>22718.173999999999</v>
      </c>
      <c r="F19" s="26">
        <f>5580.498+16912.899</f>
        <v>22493.397000000001</v>
      </c>
      <c r="G19" s="26"/>
      <c r="H19" s="26">
        <f>7668-340.92</f>
        <v>7327.08</v>
      </c>
      <c r="I19" s="26">
        <v>8457.66</v>
      </c>
      <c r="J19" s="26">
        <v>8627.4840000000004</v>
      </c>
      <c r="K19" s="26">
        <f>6016.88+2570.58</f>
        <v>8587.4599999999991</v>
      </c>
      <c r="L19" s="26"/>
      <c r="M19" s="26">
        <f>2315.6-24.08</f>
        <v>2291.52</v>
      </c>
      <c r="N19" s="26">
        <f>2725.48-16.52</f>
        <v>2708.96</v>
      </c>
      <c r="O19" s="26">
        <f>(1351.256+1385.535)+(44.605+193.326)</f>
        <v>2974.7220000000002</v>
      </c>
      <c r="P19" s="26">
        <f>1207.454+2347-133.181</f>
        <v>3421.2729999999997</v>
      </c>
      <c r="Q19" s="26"/>
      <c r="R19" s="26">
        <v>3509.1</v>
      </c>
      <c r="S19" s="26">
        <v>3211.17</v>
      </c>
      <c r="T19" s="26">
        <v>4035.12</v>
      </c>
      <c r="U19" s="26">
        <f>1909.789+2737.818-146.201</f>
        <v>4501.4059999999999</v>
      </c>
      <c r="V19" s="26"/>
      <c r="W19" s="26">
        <f>5862-578.81</f>
        <v>5283.1900000000005</v>
      </c>
      <c r="X19" s="26">
        <v>6009</v>
      </c>
      <c r="Y19" s="26">
        <v>5436</v>
      </c>
      <c r="Z19" s="26">
        <f>1703.461+19.131+4820.122+180.244</f>
        <v>6722.9579999999996</v>
      </c>
      <c r="AA19" s="26"/>
    </row>
    <row r="20" spans="1:27" s="22" customFormat="1" ht="21.75" customHeight="1">
      <c r="A20" s="40"/>
      <c r="B20" s="36" t="s">
        <v>14</v>
      </c>
      <c r="C20" s="23">
        <f>C6</f>
        <v>66534.44</v>
      </c>
      <c r="D20" s="23">
        <f>D17</f>
        <v>73452.81</v>
      </c>
      <c r="E20" s="23">
        <f>E6</f>
        <v>83780.807000000001</v>
      </c>
      <c r="F20" s="23">
        <f>+F6</f>
        <v>110101.723</v>
      </c>
      <c r="G20" s="23"/>
      <c r="H20" s="23">
        <f>H6</f>
        <v>27293</v>
      </c>
      <c r="I20" s="23">
        <f>I17</f>
        <v>29436</v>
      </c>
      <c r="J20" s="23">
        <f>J6</f>
        <v>31814.769</v>
      </c>
      <c r="K20" s="23">
        <f>K6</f>
        <v>29937</v>
      </c>
      <c r="L20" s="23"/>
      <c r="M20" s="23">
        <f>M6</f>
        <v>9542.4599999999991</v>
      </c>
      <c r="N20" s="23">
        <f>N17</f>
        <v>9864.9</v>
      </c>
      <c r="O20" s="23">
        <f>O6</f>
        <v>13265.677</v>
      </c>
      <c r="P20" s="23">
        <f>P6</f>
        <v>13786.385</v>
      </c>
      <c r="Q20" s="23"/>
      <c r="R20" s="23">
        <f>R6</f>
        <v>8843.2199999999993</v>
      </c>
      <c r="S20" s="23">
        <f>S17</f>
        <v>11190.57</v>
      </c>
      <c r="T20" s="23">
        <f>T6</f>
        <v>11835.503000000001</v>
      </c>
      <c r="U20" s="23">
        <f>U6</f>
        <v>13199.203</v>
      </c>
      <c r="V20" s="23"/>
      <c r="W20" s="23">
        <f>W6</f>
        <v>10419</v>
      </c>
      <c r="X20" s="23">
        <f>X17</f>
        <v>11824</v>
      </c>
      <c r="Y20" s="23">
        <v>13786</v>
      </c>
      <c r="Z20" s="23">
        <f>Z6</f>
        <v>14209.263000000001</v>
      </c>
      <c r="AA20" s="23"/>
    </row>
    <row r="21" spans="1:27" s="22" customFormat="1" ht="21.75" customHeight="1" thickBot="1">
      <c r="A21" s="41"/>
      <c r="B21" s="24"/>
      <c r="C21" s="12">
        <f>C19/C20</f>
        <v>0.27948142345528121</v>
      </c>
      <c r="D21" s="12">
        <f>D19/D20</f>
        <v>0.2821456388121843</v>
      </c>
      <c r="E21" s="12">
        <f>E19/E20</f>
        <v>0.27116203356694807</v>
      </c>
      <c r="F21" s="12">
        <f>F19/F20</f>
        <v>0.20429650315281625</v>
      </c>
      <c r="G21" s="12">
        <f>F21-E21</f>
        <v>-6.6865530414131819E-2</v>
      </c>
      <c r="H21" s="12">
        <f>H19/H20</f>
        <v>0.26846004470010626</v>
      </c>
      <c r="I21" s="12">
        <f>I19/I20</f>
        <v>0.28732368528332652</v>
      </c>
      <c r="J21" s="12">
        <f>J19/J20</f>
        <v>0.271178583757751</v>
      </c>
      <c r="K21" s="12">
        <f>K19/K20</f>
        <v>0.28685105387981424</v>
      </c>
      <c r="L21" s="12">
        <f>K21-J21</f>
        <v>1.5672470122063242E-2</v>
      </c>
      <c r="M21" s="12">
        <f>M19/M20</f>
        <v>0.24013933513999536</v>
      </c>
      <c r="N21" s="12">
        <f>N19/N20</f>
        <v>0.27460592606108525</v>
      </c>
      <c r="O21" s="12">
        <f>O19/O20</f>
        <v>0.22424200438469896</v>
      </c>
      <c r="P21" s="12">
        <f>P19/P20</f>
        <v>0.24816316967791047</v>
      </c>
      <c r="Q21" s="12">
        <f>P21-O21</f>
        <v>2.3921165293211505E-2</v>
      </c>
      <c r="R21" s="12">
        <f>R19/R20</f>
        <v>0.39681247328461805</v>
      </c>
      <c r="S21" s="12">
        <f>S19/S20</f>
        <v>0.28695321149861003</v>
      </c>
      <c r="T21" s="12">
        <f>T19/T20</f>
        <v>0.34093354545218735</v>
      </c>
      <c r="U21" s="12">
        <f>U19/U20</f>
        <v>0.34103619741282865</v>
      </c>
      <c r="V21" s="12">
        <f>U21-T21</f>
        <v>1.0265196064129789E-4</v>
      </c>
      <c r="W21" s="12">
        <f>W19/W20</f>
        <v>0.50707265572511762</v>
      </c>
      <c r="X21" s="12">
        <f>X19/X20</f>
        <v>0.5082036535859269</v>
      </c>
      <c r="Y21" s="12">
        <f>Y19/Y20</f>
        <v>0.3943130712316843</v>
      </c>
      <c r="Z21" s="12">
        <f>Z19/Z20</f>
        <v>0.47313910651101321</v>
      </c>
      <c r="AA21" s="12">
        <f>Z21-Y21</f>
        <v>7.882603527932891E-2</v>
      </c>
    </row>
    <row r="22" spans="1:27" s="22" customFormat="1" ht="21.75" customHeight="1">
      <c r="A22" s="39" t="s">
        <v>8</v>
      </c>
      <c r="B22" s="25" t="s">
        <v>11</v>
      </c>
      <c r="C22" s="26">
        <v>29356.29</v>
      </c>
      <c r="D22" s="26">
        <v>39356.35</v>
      </c>
      <c r="E22" s="26">
        <v>35321.644999999997</v>
      </c>
      <c r="F22" s="26">
        <v>49222.552000000003</v>
      </c>
      <c r="G22" s="26"/>
      <c r="H22" s="26">
        <v>9688</v>
      </c>
      <c r="I22" s="26">
        <v>10012</v>
      </c>
      <c r="J22" s="26">
        <v>13397.819</v>
      </c>
      <c r="K22" s="26">
        <v>11458.516</v>
      </c>
      <c r="L22" s="26"/>
      <c r="M22" s="26">
        <v>2683.23</v>
      </c>
      <c r="N22" s="26">
        <v>2820.39</v>
      </c>
      <c r="O22" s="26">
        <f>2407.288+300.694</f>
        <v>2707.982</v>
      </c>
      <c r="P22" s="26">
        <v>3906.55</v>
      </c>
      <c r="Q22" s="26"/>
      <c r="R22" s="26">
        <v>3325.78</v>
      </c>
      <c r="S22" s="26">
        <v>4891.59</v>
      </c>
      <c r="T22" s="26">
        <v>6822.0420000000004</v>
      </c>
      <c r="U22" s="26">
        <v>6099.9430000000002</v>
      </c>
      <c r="V22" s="26"/>
      <c r="W22" s="26">
        <v>2275</v>
      </c>
      <c r="X22" s="32">
        <v>4467</v>
      </c>
      <c r="Y22" s="32">
        <v>6333</v>
      </c>
      <c r="Z22" s="32">
        <f>5364.536+7.552+147.722-190.776</f>
        <v>5329.0339999999997</v>
      </c>
      <c r="AA22" s="26"/>
    </row>
    <row r="23" spans="1:27" s="22" customFormat="1" ht="21.75" customHeight="1">
      <c r="A23" s="40"/>
      <c r="B23" s="36" t="s">
        <v>4</v>
      </c>
      <c r="C23" s="23">
        <v>65761.2</v>
      </c>
      <c r="D23" s="23">
        <v>73894.2</v>
      </c>
      <c r="E23" s="23">
        <v>81916.572</v>
      </c>
      <c r="F23" s="23">
        <v>107473.041</v>
      </c>
      <c r="G23" s="23"/>
      <c r="H23" s="23">
        <v>20764</v>
      </c>
      <c r="I23" s="23">
        <v>21178</v>
      </c>
      <c r="J23" s="23">
        <v>25507.834999999999</v>
      </c>
      <c r="K23" s="23">
        <v>23263.850999999999</v>
      </c>
      <c r="L23" s="23"/>
      <c r="M23" s="23">
        <v>8996.1</v>
      </c>
      <c r="N23" s="23">
        <v>9699.33</v>
      </c>
      <c r="O23" s="23">
        <f>10405.151+1313.931</f>
        <v>11719.082</v>
      </c>
      <c r="P23" s="23">
        <v>13299.547</v>
      </c>
      <c r="Q23" s="23"/>
      <c r="R23" s="23">
        <v>8861.26</v>
      </c>
      <c r="S23" s="23">
        <v>11025.09</v>
      </c>
      <c r="T23" s="23">
        <v>11730.87</v>
      </c>
      <c r="U23" s="23">
        <v>13086.716</v>
      </c>
      <c r="V23" s="23"/>
      <c r="W23" s="23">
        <v>10218</v>
      </c>
      <c r="X23" s="23">
        <v>10791</v>
      </c>
      <c r="Y23" s="23">
        <v>13235</v>
      </c>
      <c r="Z23" s="23">
        <v>14062.215</v>
      </c>
      <c r="AA23" s="23"/>
    </row>
    <row r="24" spans="1:27" s="22" customFormat="1" ht="21.75" customHeight="1" thickBot="1">
      <c r="A24" s="41"/>
      <c r="B24" s="24"/>
      <c r="C24" s="12">
        <f>C22/C23</f>
        <v>0.44640745606831994</v>
      </c>
      <c r="D24" s="12">
        <f>D22/D23</f>
        <v>0.53260404740832168</v>
      </c>
      <c r="E24" s="12">
        <f>E22/E23</f>
        <v>0.43119046778471148</v>
      </c>
      <c r="F24" s="12">
        <f>F22/F23</f>
        <v>0.45799906229507364</v>
      </c>
      <c r="G24" s="12">
        <f>F24-E24</f>
        <v>2.680859451036216E-2</v>
      </c>
      <c r="H24" s="12">
        <f>H22/H23</f>
        <v>0.46657676748218069</v>
      </c>
      <c r="I24" s="12">
        <f>I22/I23</f>
        <v>0.47275474549060348</v>
      </c>
      <c r="J24" s="12">
        <f>J22/J23</f>
        <v>0.52524328309321433</v>
      </c>
      <c r="K24" s="12">
        <f>K22/K23</f>
        <v>0.49254596756143254</v>
      </c>
      <c r="L24" s="12">
        <f>K24-J24</f>
        <v>-3.269731553178179E-2</v>
      </c>
      <c r="M24" s="12">
        <f>M22/M23</f>
        <v>0.29826591522993295</v>
      </c>
      <c r="N24" s="12">
        <f>N22/N23</f>
        <v>0.29078194060826879</v>
      </c>
      <c r="O24" s="12">
        <f>O22/O23</f>
        <v>0.23107458416964741</v>
      </c>
      <c r="P24" s="12">
        <f>P22/P23</f>
        <v>0.29373556858741129</v>
      </c>
      <c r="Q24" s="12">
        <f>P24-O24</f>
        <v>6.2660984417763882E-2</v>
      </c>
      <c r="R24" s="12">
        <f>R22/R23</f>
        <v>0.37531682853228548</v>
      </c>
      <c r="S24" s="12">
        <f>S22/S23</f>
        <v>0.44367801079174862</v>
      </c>
      <c r="T24" s="12">
        <f>T22/T23</f>
        <v>0.58154612573491993</v>
      </c>
      <c r="U24" s="12">
        <f>U22/U23</f>
        <v>0.46611716797399744</v>
      </c>
      <c r="V24" s="12">
        <f>U24-T24</f>
        <v>-0.11542895776092249</v>
      </c>
      <c r="W24" s="12">
        <f>W22/W23</f>
        <v>0.22264631043256997</v>
      </c>
      <c r="X24" s="12">
        <f>X22/X23</f>
        <v>0.41395607450653321</v>
      </c>
      <c r="Y24" s="12">
        <f>Y22/Y23</f>
        <v>0.47850396675481677</v>
      </c>
      <c r="Z24" s="12">
        <f>Z22/Z23</f>
        <v>0.37896120916939469</v>
      </c>
      <c r="AA24" s="12">
        <f>Z24-Y24</f>
        <v>-9.9542757585422081E-2</v>
      </c>
    </row>
    <row r="25" spans="1:27" s="22" customFormat="1" ht="21.75" customHeight="1">
      <c r="A25" s="39" t="s">
        <v>9</v>
      </c>
      <c r="B25" s="25" t="s">
        <v>12</v>
      </c>
      <c r="C25" s="26">
        <v>173120.64000000001</v>
      </c>
      <c r="D25" s="26">
        <v>193994.61</v>
      </c>
      <c r="E25" s="26">
        <v>284670.23100000003</v>
      </c>
      <c r="F25" s="26"/>
      <c r="G25" s="26"/>
      <c r="H25" s="26">
        <v>72173</v>
      </c>
      <c r="I25" s="26">
        <v>66642</v>
      </c>
      <c r="J25" s="26">
        <v>66326.057000000001</v>
      </c>
      <c r="K25" s="26">
        <v>77407.842000000004</v>
      </c>
      <c r="L25" s="26"/>
      <c r="M25" s="26">
        <v>14219.89</v>
      </c>
      <c r="N25" s="26">
        <v>15530.19</v>
      </c>
      <c r="O25" s="26">
        <v>14371.579</v>
      </c>
      <c r="P25" s="26">
        <v>18733.183000000001</v>
      </c>
      <c r="Q25" s="26"/>
      <c r="R25" s="26">
        <v>10942.69</v>
      </c>
      <c r="S25" s="26">
        <v>14062.44</v>
      </c>
      <c r="T25" s="26">
        <v>16325.251</v>
      </c>
      <c r="U25" s="26">
        <v>20801.055</v>
      </c>
      <c r="V25" s="26"/>
      <c r="W25" s="26">
        <v>3417</v>
      </c>
      <c r="X25" s="26">
        <v>4273</v>
      </c>
      <c r="Y25" s="26">
        <f>5169-659+453</f>
        <v>4963</v>
      </c>
      <c r="Z25" s="26">
        <f>5341-84+648-401</f>
        <v>5504</v>
      </c>
      <c r="AA25" s="26"/>
    </row>
    <row r="26" spans="1:27" s="22" customFormat="1" ht="21.75" customHeight="1">
      <c r="A26" s="40"/>
      <c r="B26" s="36" t="s">
        <v>5</v>
      </c>
      <c r="C26" s="23">
        <v>147871.89000000001</v>
      </c>
      <c r="D26" s="23">
        <v>162712.89000000001</v>
      </c>
      <c r="E26" s="23">
        <v>175225.81</v>
      </c>
      <c r="F26" s="23">
        <v>196545.85500000001</v>
      </c>
      <c r="G26" s="23"/>
      <c r="H26" s="23">
        <v>54580</v>
      </c>
      <c r="I26" s="23">
        <v>62395</v>
      </c>
      <c r="J26" s="23">
        <v>69815.153000000006</v>
      </c>
      <c r="K26" s="23">
        <v>76466.074999999997</v>
      </c>
      <c r="L26" s="23"/>
      <c r="M26" s="23">
        <v>7813</v>
      </c>
      <c r="N26" s="23">
        <v>8039.24</v>
      </c>
      <c r="O26" s="23">
        <f>9684.548+660.999</f>
        <v>10345.547</v>
      </c>
      <c r="P26" s="23">
        <v>10718.008</v>
      </c>
      <c r="Q26" s="23"/>
      <c r="R26" s="23">
        <v>12114.29</v>
      </c>
      <c r="S26" s="23">
        <v>14295.21</v>
      </c>
      <c r="T26" s="23">
        <v>16544.284</v>
      </c>
      <c r="U26" s="23">
        <v>19950.2</v>
      </c>
      <c r="V26" s="23"/>
      <c r="W26" s="23">
        <v>10415</v>
      </c>
      <c r="X26" s="23">
        <v>11447</v>
      </c>
      <c r="Y26" s="23">
        <v>13123</v>
      </c>
      <c r="Z26" s="23">
        <v>13417.897999999999</v>
      </c>
      <c r="AA26" s="23"/>
    </row>
    <row r="27" spans="1:27" s="22" customFormat="1" ht="21.75" customHeight="1" thickBot="1">
      <c r="A27" s="41"/>
      <c r="B27" s="24"/>
      <c r="C27" s="12">
        <f>C25/C26</f>
        <v>1.1707474625501846</v>
      </c>
      <c r="D27" s="12">
        <f>D25/D26</f>
        <v>1.1922510257177534</v>
      </c>
      <c r="E27" s="12">
        <f>E25/E26</f>
        <v>1.6245907552089502</v>
      </c>
      <c r="F27" s="12">
        <f>F25/F26</f>
        <v>0</v>
      </c>
      <c r="G27" s="12">
        <f>F27-E27</f>
        <v>-1.6245907552089502</v>
      </c>
      <c r="H27" s="12">
        <f>H25/H26</f>
        <v>1.32233418834738</v>
      </c>
      <c r="I27" s="12">
        <f>I25/I26</f>
        <v>1.0680663514704705</v>
      </c>
      <c r="J27" s="12">
        <f>J25/J26</f>
        <v>0.95002380070698966</v>
      </c>
      <c r="K27" s="12">
        <f>K25/K26</f>
        <v>1.0123161415045823</v>
      </c>
      <c r="L27" s="12">
        <f>K27-J27</f>
        <v>6.2292340797592605E-2</v>
      </c>
      <c r="M27" s="12">
        <f>M25/M26</f>
        <v>1.8200294381159605</v>
      </c>
      <c r="N27" s="12">
        <f>N25/N26</f>
        <v>1.93179827943935</v>
      </c>
      <c r="O27" s="12">
        <f>O25/O26</f>
        <v>1.3891560301258115</v>
      </c>
      <c r="P27" s="12">
        <f>P25/P26</f>
        <v>1.7478231962506467</v>
      </c>
      <c r="Q27" s="12">
        <f>P27-O27</f>
        <v>0.35866716612483529</v>
      </c>
      <c r="R27" s="12">
        <f>R25/R26</f>
        <v>0.90328777006328886</v>
      </c>
      <c r="S27" s="12">
        <f>S25/S26</f>
        <v>0.98371692336104199</v>
      </c>
      <c r="T27" s="12">
        <f>T25/T26</f>
        <v>0.9867608051215756</v>
      </c>
      <c r="U27" s="12">
        <f>U25/U26</f>
        <v>1.0426489458752293</v>
      </c>
      <c r="V27" s="12">
        <f>U27-T27</f>
        <v>5.588814075365367E-2</v>
      </c>
      <c r="W27" s="12">
        <f>W25/W26</f>
        <v>0.32808449351896302</v>
      </c>
      <c r="X27" s="12">
        <f>X25/X26</f>
        <v>0.3732855770070761</v>
      </c>
      <c r="Y27" s="12">
        <f>Y25/Y26</f>
        <v>0.37819096243237066</v>
      </c>
      <c r="Z27" s="12">
        <f>Z25/Z26</f>
        <v>0.41019837831529204</v>
      </c>
      <c r="AA27" s="12">
        <f>Z27-Y27</f>
        <v>3.2007415882921386E-2</v>
      </c>
    </row>
    <row r="28" spans="1:27" s="22" customFormat="1" ht="25.5" customHeight="1">
      <c r="A28" s="39" t="s">
        <v>10</v>
      </c>
      <c r="B28" s="25" t="s">
        <v>13</v>
      </c>
      <c r="C28" s="26">
        <v>5154.3</v>
      </c>
      <c r="D28" s="26">
        <v>4564.6000000000004</v>
      </c>
      <c r="E28" s="26">
        <v>6064.26</v>
      </c>
      <c r="F28" s="26">
        <v>5380.6670000000004</v>
      </c>
      <c r="G28" s="26"/>
      <c r="H28" s="26">
        <v>9955</v>
      </c>
      <c r="I28" s="26">
        <v>14158</v>
      </c>
      <c r="J28" s="26">
        <v>14349.857</v>
      </c>
      <c r="K28" s="26">
        <v>19535.182000000001</v>
      </c>
      <c r="L28" s="26"/>
      <c r="M28" s="26">
        <v>1138.83</v>
      </c>
      <c r="N28" s="26">
        <v>1608.24</v>
      </c>
      <c r="O28" s="26">
        <v>2784</v>
      </c>
      <c r="P28" s="32">
        <v>3348.93</v>
      </c>
      <c r="Q28" s="26"/>
      <c r="R28" s="26">
        <v>3494.1</v>
      </c>
      <c r="S28" s="26">
        <v>1866.4</v>
      </c>
      <c r="T28" s="26">
        <v>1481.4960000000001</v>
      </c>
      <c r="U28" s="26">
        <v>2319.527</v>
      </c>
      <c r="V28" s="26"/>
      <c r="W28" s="26">
        <v>0</v>
      </c>
      <c r="X28" s="26">
        <v>0</v>
      </c>
      <c r="Y28" s="26">
        <v>0</v>
      </c>
      <c r="Z28" s="26">
        <v>0</v>
      </c>
      <c r="AA28" s="26"/>
    </row>
    <row r="29" spans="1:27" s="22" customFormat="1" ht="21.75" customHeight="1">
      <c r="A29" s="40"/>
      <c r="B29" s="36" t="s">
        <v>14</v>
      </c>
      <c r="C29" s="23">
        <v>62932.7</v>
      </c>
      <c r="D29" s="23">
        <v>69225</v>
      </c>
      <c r="E29" s="23">
        <f>E6</f>
        <v>83780.807000000001</v>
      </c>
      <c r="F29" s="23">
        <f>F6</f>
        <v>110101.723</v>
      </c>
      <c r="G29" s="23"/>
      <c r="H29" s="23">
        <f>H6</f>
        <v>27293</v>
      </c>
      <c r="I29" s="23">
        <v>34056.07</v>
      </c>
      <c r="J29" s="23">
        <f>J6</f>
        <v>31814.769</v>
      </c>
      <c r="K29" s="23">
        <f>K6</f>
        <v>29937</v>
      </c>
      <c r="L29" s="23"/>
      <c r="M29" s="23">
        <f>M6</f>
        <v>9542.4599999999991</v>
      </c>
      <c r="N29" s="23">
        <f>N6</f>
        <v>9864.9</v>
      </c>
      <c r="O29" s="23">
        <f>O6</f>
        <v>13265.677</v>
      </c>
      <c r="P29" s="23">
        <f>P6</f>
        <v>13786.385</v>
      </c>
      <c r="Q29" s="23"/>
      <c r="R29" s="23">
        <f>R6</f>
        <v>8843.2199999999993</v>
      </c>
      <c r="S29" s="23">
        <f>S6</f>
        <v>11190.57</v>
      </c>
      <c r="T29" s="23">
        <f>T6</f>
        <v>11835.503000000001</v>
      </c>
      <c r="U29" s="23">
        <f>U6</f>
        <v>13199.203</v>
      </c>
      <c r="V29" s="23"/>
      <c r="W29" s="23">
        <f>W6</f>
        <v>10419</v>
      </c>
      <c r="X29" s="23">
        <f>X6</f>
        <v>11824</v>
      </c>
      <c r="Y29" s="23">
        <v>13786</v>
      </c>
      <c r="Z29" s="23">
        <f>Z6</f>
        <v>14209.263000000001</v>
      </c>
      <c r="AA29" s="23"/>
    </row>
    <row r="30" spans="1:27" s="22" customFormat="1" ht="21.75" customHeight="1" thickBot="1">
      <c r="A30" s="41"/>
      <c r="B30" s="24"/>
      <c r="C30" s="12">
        <f>C28/C29</f>
        <v>8.1901777613228102E-2</v>
      </c>
      <c r="D30" s="12">
        <f>D28/D29</f>
        <v>6.5938605994944027E-2</v>
      </c>
      <c r="E30" s="12">
        <f>E28/E29</f>
        <v>7.2382449121073764E-2</v>
      </c>
      <c r="F30" s="12">
        <f>F28/F29</f>
        <v>4.8869961826119655E-2</v>
      </c>
      <c r="G30" s="12">
        <f>F30-E30</f>
        <v>-2.3512487294954108E-2</v>
      </c>
      <c r="H30" s="12">
        <f>H28/H29</f>
        <v>0.36474553914923241</v>
      </c>
      <c r="I30" s="12">
        <f>I28/I29</f>
        <v>0.41572618332062389</v>
      </c>
      <c r="J30" s="12">
        <f>J28/J29</f>
        <v>0.45104388468135664</v>
      </c>
      <c r="K30" s="12">
        <f>K28/K29</f>
        <v>0.6525430737882888</v>
      </c>
      <c r="L30" s="12">
        <f>K30-J30</f>
        <v>0.20149918910693215</v>
      </c>
      <c r="M30" s="12">
        <f>M28/M29</f>
        <v>0.11934343974195334</v>
      </c>
      <c r="N30" s="12">
        <f>N28/N29</f>
        <v>0.16302648785086521</v>
      </c>
      <c r="O30" s="12">
        <f>O28/O29</f>
        <v>0.2098649017309859</v>
      </c>
      <c r="P30" s="12">
        <f>P28/P29</f>
        <v>0.24291574622353865</v>
      </c>
      <c r="Q30" s="12">
        <f>P30-O30</f>
        <v>3.3050844492552744E-2</v>
      </c>
      <c r="R30" s="12">
        <f>R28/R29</f>
        <v>0.39511625855740334</v>
      </c>
      <c r="S30" s="12">
        <f>S28/S29</f>
        <v>0.16678328271035348</v>
      </c>
      <c r="T30" s="12">
        <f>T28/T29</f>
        <v>0.12517389417247413</v>
      </c>
      <c r="U30" s="12">
        <f>U28/U29</f>
        <v>0.17573235293070347</v>
      </c>
      <c r="V30" s="12">
        <f>U30-T30</f>
        <v>5.0558458758229341E-2</v>
      </c>
      <c r="W30" s="12">
        <f>W28/W29</f>
        <v>0</v>
      </c>
      <c r="X30" s="12">
        <f>X28/X29</f>
        <v>0</v>
      </c>
      <c r="Y30" s="12">
        <f>Y28/Y29</f>
        <v>0</v>
      </c>
      <c r="Z30" s="12">
        <f>Z28/Z29</f>
        <v>0</v>
      </c>
      <c r="AA30" s="12">
        <f>Z30-Y30</f>
        <v>0</v>
      </c>
    </row>
    <row r="31" spans="1:27" s="22" customFormat="1" ht="25.5" customHeight="1">
      <c r="A31" s="39" t="s">
        <v>24</v>
      </c>
      <c r="B31" s="25" t="s">
        <v>25</v>
      </c>
      <c r="C31" s="26">
        <v>37216.748</v>
      </c>
      <c r="D31" s="26">
        <v>35938.06</v>
      </c>
      <c r="E31" s="26">
        <v>41260.654999999999</v>
      </c>
      <c r="F31" s="26">
        <v>45020.023000000001</v>
      </c>
      <c r="G31" s="26"/>
      <c r="H31" s="26">
        <v>7688</v>
      </c>
      <c r="I31" s="26">
        <v>7245</v>
      </c>
      <c r="J31" s="26">
        <v>8357.9789999999994</v>
      </c>
      <c r="K31" s="26">
        <v>8335.7510000000002</v>
      </c>
      <c r="L31" s="26"/>
      <c r="M31" s="26">
        <v>4410.95</v>
      </c>
      <c r="N31" s="26">
        <v>4339.47</v>
      </c>
      <c r="O31" s="26">
        <v>4541.300604</v>
      </c>
      <c r="P31" s="26">
        <v>4997.9359999999997</v>
      </c>
      <c r="Q31" s="26"/>
      <c r="R31" s="26">
        <v>11663.34</v>
      </c>
      <c r="S31" s="26">
        <v>13678.78</v>
      </c>
      <c r="T31" s="26">
        <v>15594.736000000001</v>
      </c>
      <c r="U31" s="26">
        <v>18888.165000000001</v>
      </c>
      <c r="V31" s="26"/>
      <c r="W31" s="26">
        <v>7504</v>
      </c>
      <c r="X31" s="26">
        <v>8170</v>
      </c>
      <c r="Y31" s="26">
        <v>9284</v>
      </c>
      <c r="Z31" s="26">
        <v>9432.0740000000005</v>
      </c>
      <c r="AA31" s="26"/>
    </row>
    <row r="32" spans="1:27" s="22" customFormat="1" ht="21.75" customHeight="1">
      <c r="A32" s="40"/>
      <c r="B32" s="36" t="s">
        <v>26</v>
      </c>
      <c r="C32" s="23">
        <v>27169.48</v>
      </c>
      <c r="D32" s="23">
        <v>22953.73</v>
      </c>
      <c r="E32" s="23">
        <f>35321.645-5672.45-1761.28-3214.946</f>
        <v>24672.968999999997</v>
      </c>
      <c r="F32" s="23">
        <f>49222.552-14310.165-5629.352+1248.155</f>
        <v>30531.190000000002</v>
      </c>
      <c r="G32" s="23"/>
      <c r="H32" s="23">
        <v>9688</v>
      </c>
      <c r="I32" s="23">
        <v>10011</v>
      </c>
      <c r="J32" s="23">
        <v>13310.287</v>
      </c>
      <c r="K32" s="23">
        <v>9843.8590000000004</v>
      </c>
      <c r="L32" s="23"/>
      <c r="M32" s="23">
        <v>1307.45</v>
      </c>
      <c r="N32" s="23">
        <v>2759.72</v>
      </c>
      <c r="O32" s="23">
        <f>2205.453772+271.931585</f>
        <v>2477.3853569999997</v>
      </c>
      <c r="P32" s="23">
        <f>3491.807+456.635</f>
        <v>3948.442</v>
      </c>
      <c r="Q32" s="23"/>
      <c r="R32" s="23">
        <v>3325.78</v>
      </c>
      <c r="S32" s="23">
        <v>4891.6000000000004</v>
      </c>
      <c r="T32" s="23">
        <f>6822.042-2293.552</f>
        <v>4528.49</v>
      </c>
      <c r="U32" s="23">
        <f>6099.943-3231.596</f>
        <v>2868.3470000000002</v>
      </c>
      <c r="V32" s="23"/>
      <c r="W32" s="23">
        <v>4606</v>
      </c>
      <c r="X32" s="33">
        <v>3792</v>
      </c>
      <c r="Y32" s="33">
        <v>5209</v>
      </c>
      <c r="Z32" s="33">
        <f>5364.536+7.552</f>
        <v>5372.0879999999997</v>
      </c>
      <c r="AA32" s="23"/>
    </row>
    <row r="33" spans="1:27" s="22" customFormat="1" ht="21.75" customHeight="1" thickBot="1">
      <c r="A33" s="41"/>
      <c r="B33" s="24"/>
      <c r="C33" s="29">
        <f>C31/C32</f>
        <v>1.369799790058551</v>
      </c>
      <c r="D33" s="29">
        <f>D31/D32</f>
        <v>1.5656740756295382</v>
      </c>
      <c r="E33" s="29">
        <f>E31/E32</f>
        <v>1.6723019835999471</v>
      </c>
      <c r="F33" s="29">
        <f>F31/F32</f>
        <v>1.4745584105958529</v>
      </c>
      <c r="G33" s="12">
        <f>F33-E33</f>
        <v>-0.19774357300409418</v>
      </c>
      <c r="H33" s="29">
        <f>H31/H32</f>
        <v>0.79355904211395545</v>
      </c>
      <c r="I33" s="29">
        <f>I31/I32</f>
        <v>0.72370392568175013</v>
      </c>
      <c r="J33" s="29">
        <f>J31/J32</f>
        <v>0.62793379286261819</v>
      </c>
      <c r="K33" s="29">
        <f>K31/K32</f>
        <v>0.84679707419620698</v>
      </c>
      <c r="L33" s="29">
        <f>K33-J33</f>
        <v>0.21886328133358879</v>
      </c>
      <c r="M33" s="29">
        <f>M31/M32</f>
        <v>3.3737045393705301</v>
      </c>
      <c r="N33" s="29">
        <f>N31/N32</f>
        <v>1.5724312611424349</v>
      </c>
      <c r="O33" s="29">
        <f>O31/O32</f>
        <v>1.8331022225380824</v>
      </c>
      <c r="P33" s="29">
        <f>P31/P32</f>
        <v>1.2657995229510779</v>
      </c>
      <c r="Q33" s="29">
        <f>P33-O33</f>
        <v>-0.56730269958700452</v>
      </c>
      <c r="R33" s="29">
        <f>R31/R32</f>
        <v>3.5069487458581143</v>
      </c>
      <c r="S33" s="29">
        <f>S31/S32</f>
        <v>2.7963815520484094</v>
      </c>
      <c r="T33" s="29">
        <f>T31/T32</f>
        <v>3.4436944765252879</v>
      </c>
      <c r="U33" s="29">
        <f>U31/U32</f>
        <v>6.5850348650285335</v>
      </c>
      <c r="V33" s="29">
        <f>U33-T33</f>
        <v>3.1413403885032456</v>
      </c>
      <c r="W33" s="29">
        <f>W31/W32</f>
        <v>1.6291793313069909</v>
      </c>
      <c r="X33" s="29">
        <f>X31/X32</f>
        <v>2.1545358649789028</v>
      </c>
      <c r="Y33" s="29">
        <f>Y31/Y32</f>
        <v>1.7822998656172011</v>
      </c>
      <c r="Z33" s="29">
        <f>Z31/Z32</f>
        <v>1.7557556763776023</v>
      </c>
      <c r="AA33" s="29">
        <f>Z33-Y33</f>
        <v>-2.6544189239598781E-2</v>
      </c>
    </row>
    <row r="34" spans="1:27">
      <c r="C34" s="3"/>
      <c r="D34" s="3"/>
      <c r="E34" s="3"/>
      <c r="F34" s="3"/>
      <c r="R34" s="4"/>
      <c r="S34" s="4"/>
      <c r="T34" s="4"/>
      <c r="U34" s="4"/>
    </row>
    <row r="35" spans="1:27">
      <c r="A35" s="1" t="s">
        <v>29</v>
      </c>
      <c r="C35" s="3"/>
      <c r="D35" s="3"/>
      <c r="E35" s="3"/>
      <c r="F35" s="3"/>
    </row>
    <row r="36" spans="1:27">
      <c r="C36" s="30"/>
      <c r="D36" s="2"/>
      <c r="E36" s="2"/>
      <c r="F36" s="2"/>
    </row>
    <row r="37" spans="1:27">
      <c r="A37" s="38" t="s">
        <v>32</v>
      </c>
    </row>
    <row r="38" spans="1:27">
      <c r="A38" s="38" t="s">
        <v>34</v>
      </c>
    </row>
    <row r="39" spans="1:27" ht="36" customHeight="1">
      <c r="B39" s="38"/>
    </row>
  </sheetData>
  <mergeCells count="24">
    <mergeCell ref="A1:AF1"/>
    <mergeCell ref="C4:G4"/>
    <mergeCell ref="H4:L4"/>
    <mergeCell ref="M4:Q4"/>
    <mergeCell ref="R4:V4"/>
    <mergeCell ref="W4:AA4"/>
    <mergeCell ref="AB4:AF4"/>
    <mergeCell ref="A16:A18"/>
    <mergeCell ref="A5:B5"/>
    <mergeCell ref="A6:B6"/>
    <mergeCell ref="A7:B7"/>
    <mergeCell ref="A8:B8"/>
    <mergeCell ref="A9:B9"/>
    <mergeCell ref="A13:AA13"/>
    <mergeCell ref="C14:G14"/>
    <mergeCell ref="H14:L14"/>
    <mergeCell ref="M14:Q14"/>
    <mergeCell ref="R14:V14"/>
    <mergeCell ref="W14:AA14"/>
    <mergeCell ref="A19:A21"/>
    <mergeCell ref="A22:A24"/>
    <mergeCell ref="A25:A27"/>
    <mergeCell ref="A28:A30"/>
    <mergeCell ref="A31:A33"/>
  </mergeCells>
  <pageMargins left="0" right="0" top="0" bottom="0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COMPIL avec MAMA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ony</cp:lastModifiedBy>
  <cp:lastPrinted>2016-01-14T08:53:23Z</cp:lastPrinted>
  <dcterms:created xsi:type="dcterms:W3CDTF">2013-07-18T05:34:28Z</dcterms:created>
  <dcterms:modified xsi:type="dcterms:W3CDTF">2016-01-25T07:05:02Z</dcterms:modified>
</cp:coreProperties>
</file>